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 codeName="{4470D2CD-2249-CD33-4A35-6F278624656F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5\Fall_20\"/>
    </mc:Choice>
  </mc:AlternateContent>
  <xr:revisionPtr revIDLastSave="0" documentId="8_{694F1252-6FE0-44E4-87B4-1211F2BBF4AD}" xr6:coauthVersionLast="45" xr6:coauthVersionMax="45" xr10:uidLastSave="{00000000-0000-0000-0000-000000000000}"/>
  <bookViews>
    <workbookView xWindow="-110" yWindow="-110" windowWidth="19420" windowHeight="10420" xr2:uid="{F744BB1E-9338-464B-9109-EE23E3BE59D7}"/>
  </bookViews>
  <sheets>
    <sheet name="Sheet1" sheetId="1" r:id="rId1"/>
  </sheets>
  <functionGroups builtInGroupCount="19"/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66" i="1"/>
  <c r="C65" i="1"/>
  <c r="C64" i="1"/>
  <c r="C61" i="1"/>
  <c r="C62" i="1" s="1"/>
  <c r="C54" i="1"/>
  <c r="C51" i="1"/>
  <c r="C44" i="1"/>
  <c r="C41" i="1"/>
  <c r="D24" i="1"/>
  <c r="D21" i="1"/>
  <c r="L28" i="1"/>
  <c r="L29" i="1"/>
  <c r="L30" i="1"/>
  <c r="L31" i="1"/>
  <c r="L32" i="1"/>
  <c r="M32" i="1" s="1"/>
  <c r="D28" i="1" s="1"/>
  <c r="L33" i="1"/>
  <c r="L34" i="1"/>
  <c r="K29" i="1"/>
  <c r="M29" i="1" s="1"/>
  <c r="K30" i="1"/>
  <c r="M30" i="1" s="1"/>
  <c r="D22" i="1" s="1"/>
  <c r="C46" i="1" s="1"/>
  <c r="K31" i="1"/>
  <c r="M31" i="1" s="1"/>
  <c r="D23" i="1" s="1"/>
  <c r="K32" i="1"/>
  <c r="K33" i="1"/>
  <c r="M33" i="1" s="1"/>
  <c r="D33" i="1" s="1"/>
  <c r="K34" i="1"/>
  <c r="M34" i="1" s="1"/>
  <c r="D29" i="1" s="1"/>
  <c r="K28" i="1"/>
  <c r="M28" i="1" s="1"/>
  <c r="D20" i="1" s="1"/>
  <c r="H37" i="1"/>
  <c r="C34" i="1"/>
  <c r="D34" i="1" s="1"/>
  <c r="C30" i="1"/>
  <c r="C25" i="1"/>
  <c r="H32" i="1"/>
  <c r="H23" i="1"/>
  <c r="H25" i="1" s="1"/>
  <c r="C8" i="1" s="1"/>
  <c r="H19" i="1"/>
  <c r="C6" i="1" s="1"/>
  <c r="C5" i="1"/>
  <c r="H13" i="1"/>
  <c r="H6" i="1"/>
  <c r="C4" i="1" s="1"/>
  <c r="C13" i="1" s="1"/>
  <c r="D66" i="1"/>
  <c r="D65" i="1"/>
  <c r="D64" i="1"/>
  <c r="D62" i="1"/>
  <c r="D58" i="1"/>
  <c r="D59" i="1"/>
  <c r="D61" i="1"/>
  <c r="D57" i="1"/>
  <c r="D60" i="1"/>
  <c r="D54" i="1"/>
  <c r="D53" i="1"/>
  <c r="D52" i="1"/>
  <c r="D51" i="1"/>
  <c r="D48" i="1"/>
  <c r="D47" i="1"/>
  <c r="D46" i="1"/>
  <c r="D44" i="1"/>
  <c r="D43" i="1"/>
  <c r="D41" i="1"/>
  <c r="E35" i="1"/>
  <c r="E34" i="1"/>
  <c r="E33" i="1"/>
  <c r="E30" i="1"/>
  <c r="E29" i="1"/>
  <c r="E28" i="1"/>
  <c r="E21" i="1"/>
  <c r="E22" i="1"/>
  <c r="E25" i="1"/>
  <c r="E23" i="1"/>
  <c r="E24" i="1"/>
  <c r="E20" i="1"/>
  <c r="N29" i="1"/>
  <c r="N33" i="1"/>
  <c r="N32" i="1"/>
  <c r="N30" i="1"/>
  <c r="N34" i="1"/>
  <c r="N31" i="1"/>
  <c r="N28" i="1"/>
  <c r="K27" i="1"/>
  <c r="D14" i="1"/>
  <c r="D15" i="1"/>
  <c r="I32" i="1"/>
  <c r="D13" i="1"/>
  <c r="D9" i="1"/>
  <c r="D10" i="1"/>
  <c r="D11" i="1"/>
  <c r="I25" i="1"/>
  <c r="I23" i="1"/>
  <c r="I24" i="1"/>
  <c r="I22" i="1"/>
  <c r="D8" i="1"/>
  <c r="D7" i="1"/>
  <c r="D6" i="1"/>
  <c r="I19" i="1"/>
  <c r="I18" i="1"/>
  <c r="I17" i="1"/>
  <c r="I16" i="1"/>
  <c r="I13" i="1"/>
  <c r="I9" i="1"/>
  <c r="I12" i="1"/>
  <c r="I11" i="1"/>
  <c r="I10" i="1"/>
  <c r="I6" i="1"/>
  <c r="I4" i="1"/>
  <c r="I5" i="1"/>
  <c r="D5" i="1"/>
  <c r="D4" i="1"/>
  <c r="C7" i="1" l="1"/>
  <c r="D25" i="1"/>
  <c r="E19" i="1"/>
  <c r="C47" i="1"/>
  <c r="D30" i="1"/>
  <c r="D35" i="1"/>
  <c r="C35" i="1"/>
  <c r="C9" i="1" l="1"/>
  <c r="C15" i="1"/>
  <c r="C10" i="1" l="1"/>
  <c r="C11" i="1" s="1"/>
  <c r="C43" i="1" l="1"/>
  <c r="C48" i="1" s="1"/>
  <c r="C37" i="1" l="1"/>
  <c r="D37" i="1" l="1"/>
</calcChain>
</file>

<file path=xl/sharedStrings.xml><?xml version="1.0" encoding="utf-8"?>
<sst xmlns="http://schemas.openxmlformats.org/spreadsheetml/2006/main" count="119" uniqueCount="81">
  <si>
    <t>x</t>
  </si>
  <si>
    <t>Revenue Notes</t>
  </si>
  <si>
    <t>Assets</t>
  </si>
  <si>
    <t>Account</t>
  </si>
  <si>
    <t>Debit</t>
  </si>
  <si>
    <t>Credit</t>
  </si>
  <si>
    <t>Revenue</t>
  </si>
  <si>
    <t>Cash</t>
  </si>
  <si>
    <t>COGS</t>
  </si>
  <si>
    <t>SGA</t>
  </si>
  <si>
    <t>EBIT</t>
  </si>
  <si>
    <t>Interest Expense, Net</t>
  </si>
  <si>
    <t>Inventory</t>
  </si>
  <si>
    <t>Pre-tax Income</t>
  </si>
  <si>
    <t>A/R</t>
  </si>
  <si>
    <t>Taxes</t>
  </si>
  <si>
    <t>Net Income</t>
  </si>
  <si>
    <t>EPS</t>
  </si>
  <si>
    <t>Intangible</t>
  </si>
  <si>
    <t>EBITDA</t>
  </si>
  <si>
    <t>PP&amp;E</t>
  </si>
  <si>
    <t>Total Assets</t>
  </si>
  <si>
    <t>Liabilities</t>
  </si>
  <si>
    <t>Long-term debt</t>
  </si>
  <si>
    <t>Total Liabilities</t>
  </si>
  <si>
    <t>Total</t>
  </si>
  <si>
    <t>Equity</t>
  </si>
  <si>
    <t>Common Stock</t>
  </si>
  <si>
    <t>Retained Earnings</t>
  </si>
  <si>
    <t xml:space="preserve">Total Equity </t>
  </si>
  <si>
    <t>Balance Sheet Check</t>
  </si>
  <si>
    <t>Cash at beginning</t>
  </si>
  <si>
    <t>Cash from operations</t>
  </si>
  <si>
    <t>D&amp;A</t>
  </si>
  <si>
    <t>Changes in Working Capital</t>
  </si>
  <si>
    <t>Cash from investing</t>
  </si>
  <si>
    <t>Capex</t>
  </si>
  <si>
    <t>Asset sales</t>
  </si>
  <si>
    <t>Asset write-offs</t>
  </si>
  <si>
    <t>Cash from financing</t>
  </si>
  <si>
    <t>Debt Issuance</t>
  </si>
  <si>
    <t>Debt repayment</t>
  </si>
  <si>
    <t>Stock issuance</t>
  </si>
  <si>
    <t>Stock repurchase</t>
  </si>
  <si>
    <t>Dividends paid</t>
  </si>
  <si>
    <t>Change in cash</t>
  </si>
  <si>
    <t>Cash at end</t>
  </si>
  <si>
    <t>Check against BS</t>
  </si>
  <si>
    <t>Accrued Expenses</t>
  </si>
  <si>
    <t>Balance Sheet for Go Nuts for Donuts</t>
  </si>
  <si>
    <t>FY2018</t>
  </si>
  <si>
    <t>Income Statement for Go Nuts for Donuts from 1/1/2018-12/31/2018</t>
  </si>
  <si>
    <t>Cash Flow Statement For Go Nuts for Donuts 1/1/2018-12/31/2018</t>
  </si>
  <si>
    <t>Gross profit Margin</t>
  </si>
  <si>
    <t>Units</t>
  </si>
  <si>
    <t>Price</t>
  </si>
  <si>
    <t>COGS Notes</t>
  </si>
  <si>
    <t>Donut Making Team</t>
  </si>
  <si>
    <t>Write off Inventory</t>
  </si>
  <si>
    <t>Depreciation</t>
  </si>
  <si>
    <t>SGA Notes</t>
  </si>
  <si>
    <t>Cashiers</t>
  </si>
  <si>
    <t xml:space="preserve">Legal </t>
  </si>
  <si>
    <t>Office supplies</t>
  </si>
  <si>
    <t>Interest Notes</t>
  </si>
  <si>
    <t>Interest Income</t>
  </si>
  <si>
    <t>New Loan interest</t>
  </si>
  <si>
    <t>Interest pmts</t>
  </si>
  <si>
    <t>Total Expense</t>
  </si>
  <si>
    <t>Tax rate</t>
  </si>
  <si>
    <t>Shares Notes</t>
  </si>
  <si>
    <t>Beg. Share count</t>
  </si>
  <si>
    <t>Mid point Share Count</t>
  </si>
  <si>
    <t>EPS Share Count</t>
  </si>
  <si>
    <t>RE</t>
  </si>
  <si>
    <t>PPE</t>
  </si>
  <si>
    <t>Dividend Notes</t>
  </si>
  <si>
    <t>Dividend/share</t>
  </si>
  <si>
    <t>Total Dividend</t>
  </si>
  <si>
    <t>Share Count</t>
  </si>
  <si>
    <t>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</si>
</sst>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#,##0_);#,##0"/>
    <numFmt numFmtId="165" formatCode="_(#,##0_);\(#,##0\)"/>
    <numFmt numFmtId="166" formatCode="0;0;&quot;OK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/>
    <xf numFmtId="37" fontId="0" fillId="0" borderId="0" xfId="0" applyNumberFormat="1"/>
    <xf numFmtId="42" fontId="2" fillId="0" borderId="0" xfId="0" applyNumberFormat="1" applyFont="1"/>
    <xf numFmtId="42" fontId="0" fillId="0" borderId="0" xfId="0" applyNumberFormat="1"/>
    <xf numFmtId="37" fontId="2" fillId="0" borderId="0" xfId="0" applyNumberFormat="1" applyFont="1"/>
    <xf numFmtId="164" fontId="2" fillId="0" borderId="0" xfId="0" applyNumberFormat="1" applyFont="1"/>
    <xf numFmtId="0" fontId="0" fillId="0" borderId="1" xfId="0" applyBorder="1"/>
    <xf numFmtId="164" fontId="0" fillId="0" borderId="0" xfId="0" applyNumberFormat="1"/>
    <xf numFmtId="0" fontId="1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14" fontId="2" fillId="0" borderId="0" xfId="0" applyNumberFormat="1" applyFont="1"/>
    <xf numFmtId="14" fontId="0" fillId="0" borderId="0" xfId="0" applyNumberFormat="1"/>
    <xf numFmtId="6" fontId="0" fillId="0" borderId="0" xfId="0" applyNumberFormat="1"/>
    <xf numFmtId="165" fontId="0" fillId="0" borderId="0" xfId="0" applyNumberFormat="1"/>
    <xf numFmtId="166" fontId="0" fillId="0" borderId="0" xfId="0" applyNumberFormat="1"/>
    <xf numFmtId="165" fontId="0" fillId="0" borderId="1" xfId="0" applyNumberFormat="1" applyBorder="1"/>
    <xf numFmtId="165" fontId="2" fillId="0" borderId="0" xfId="0" applyNumberFormat="1" applyFont="1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Continuous" wrapText="1"/>
    </xf>
    <xf numFmtId="0" fontId="0" fillId="0" borderId="0" xfId="0" applyBorder="1" applyAlignment="1">
      <alignment wrapText="1"/>
    </xf>
    <xf numFmtId="0" fontId="0" fillId="0" borderId="0" xfId="0" applyFill="1" applyBorder="1"/>
    <xf numFmtId="42" fontId="0" fillId="0" borderId="0" xfId="0" applyNumberFormat="1" applyFill="1" applyBorder="1"/>
    <xf numFmtId="37" fontId="0" fillId="0" borderId="0" xfId="0" applyNumberFormat="1" applyFill="1" applyBorder="1"/>
    <xf numFmtId="164" fontId="0" fillId="0" borderId="0" xfId="0" applyNumberFormat="1" applyFill="1" applyBorder="1"/>
    <xf numFmtId="8" fontId="0" fillId="0" borderId="1" xfId="0" applyNumberFormat="1" applyBorder="1"/>
    <xf numFmtId="3" fontId="0" fillId="0" borderId="0" xfId="0" applyNumberFormat="1"/>
    <xf numFmtId="3" fontId="0" fillId="0" borderId="1" xfId="0" applyNumberFormat="1" applyBorder="1"/>
    <xf numFmtId="9" fontId="0" fillId="0" borderId="0" xfId="0" applyNumberFormat="1"/>
    <xf numFmtId="9" fontId="0" fillId="0" borderId="0" xfId="0" applyNumberFormat="1" applyBorder="1"/>
    <xf numFmtId="44" fontId="0" fillId="0" borderId="0" xfId="0" applyNumberFormat="1"/>
    <xf numFmtId="42" fontId="0" fillId="0" borderId="0" xfId="0" applyNumberFormat="1" applyBorder="1"/>
    <xf numFmtId="37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A2A41-C2F6-4824-B558-CDB41519A5F1}">
  <sheetPr codeName="Sheet1"/>
  <dimension ref="A1:N66"/>
  <sheetViews>
    <sheetView tabSelected="1" zoomScale="130" zoomScaleNormal="130" workbookViewId="0">
      <selection activeCell="E23" sqref="E23"/>
    </sheetView>
  </sheetViews>
  <sheetFormatPr defaultRowHeight="14.5" x14ac:dyDescent="0.35"/>
  <cols>
    <col min="1" max="1" width="3.1796875" customWidth="1"/>
    <col min="2" max="2" width="28.54296875" bestFit="1" customWidth="1"/>
    <col min="3" max="3" width="16.453125" bestFit="1" customWidth="1"/>
    <col min="4" max="4" width="13.08984375" bestFit="1" customWidth="1"/>
    <col min="5" max="5" width="17.54296875" bestFit="1" customWidth="1"/>
    <col min="6" max="6" width="17.54296875" customWidth="1"/>
    <col min="7" max="7" width="21" bestFit="1" customWidth="1"/>
    <col min="8" max="8" width="11.453125" bestFit="1" customWidth="1"/>
    <col min="9" max="9" width="21.453125" bestFit="1" customWidth="1"/>
    <col min="10" max="10" width="16.7265625" bestFit="1" customWidth="1"/>
    <col min="11" max="11" width="9.90625" bestFit="1" customWidth="1"/>
    <col min="12" max="12" width="10.54296875" bestFit="1" customWidth="1"/>
    <col min="13" max="13" width="9.26953125" bestFit="1" customWidth="1"/>
  </cols>
  <sheetData>
    <row r="1" spans="1:13" x14ac:dyDescent="0.35">
      <c r="B1" s="19"/>
      <c r="C1" s="19"/>
      <c r="D1" s="19"/>
      <c r="E1" s="19"/>
      <c r="F1" s="19"/>
    </row>
    <row r="2" spans="1:13" x14ac:dyDescent="0.35">
      <c r="A2" t="s">
        <v>0</v>
      </c>
      <c r="B2" s="20" t="s">
        <v>51</v>
      </c>
      <c r="C2" s="21"/>
      <c r="D2" s="22"/>
      <c r="E2" s="19"/>
      <c r="F2" s="19"/>
    </row>
    <row r="3" spans="1:13" x14ac:dyDescent="0.35">
      <c r="B3" s="19"/>
      <c r="C3" s="19" t="s">
        <v>50</v>
      </c>
      <c r="D3" s="19"/>
      <c r="E3" s="19"/>
      <c r="F3" s="19"/>
      <c r="G3" s="1" t="s">
        <v>1</v>
      </c>
      <c r="J3" s="2" t="s">
        <v>3</v>
      </c>
      <c r="K3" s="2" t="s">
        <v>4</v>
      </c>
      <c r="L3" s="2" t="s">
        <v>5</v>
      </c>
    </row>
    <row r="4" spans="1:13" x14ac:dyDescent="0.35">
      <c r="B4" s="23" t="s">
        <v>6</v>
      </c>
      <c r="C4" s="24">
        <f>H6</f>
        <v>150000</v>
      </c>
      <c r="D4" s="19" t="str">
        <f ca="1">getformula(C4)</f>
        <v>&lt;--  =H6</v>
      </c>
      <c r="E4" s="19"/>
      <c r="F4" s="19"/>
      <c r="G4" t="s">
        <v>54</v>
      </c>
      <c r="H4" s="24">
        <v>100000</v>
      </c>
      <c r="I4" s="19" t="str">
        <f t="shared" ref="I4:I6" ca="1" si="0">getformula(H4)</f>
        <v>&lt;--  100000</v>
      </c>
      <c r="J4" t="s">
        <v>7</v>
      </c>
      <c r="K4" s="5">
        <v>150000</v>
      </c>
      <c r="L4" s="5"/>
      <c r="M4" s="3"/>
    </row>
    <row r="5" spans="1:13" x14ac:dyDescent="0.35">
      <c r="B5" s="23" t="s">
        <v>8</v>
      </c>
      <c r="C5" s="25">
        <f>H13</f>
        <v>57000</v>
      </c>
      <c r="D5" s="19" t="str">
        <f ca="1">getformula(C5)</f>
        <v>&lt;--  =H13</v>
      </c>
      <c r="E5" s="19"/>
      <c r="F5" s="19"/>
      <c r="G5" s="8" t="s">
        <v>55</v>
      </c>
      <c r="H5" s="27">
        <v>1.5</v>
      </c>
      <c r="I5" s="19" t="str">
        <f t="shared" ca="1" si="0"/>
        <v>&lt;--  1.5</v>
      </c>
      <c r="J5" t="s">
        <v>74</v>
      </c>
      <c r="K5" s="3"/>
      <c r="L5" s="3">
        <v>150000</v>
      </c>
      <c r="M5" s="3"/>
    </row>
    <row r="6" spans="1:13" x14ac:dyDescent="0.35">
      <c r="B6" s="23" t="s">
        <v>9</v>
      </c>
      <c r="C6" s="26">
        <f>H19</f>
        <v>27000</v>
      </c>
      <c r="D6" s="19" t="str">
        <f ca="1">getformula(C6)</f>
        <v>&lt;--  =H19</v>
      </c>
      <c r="E6" s="19"/>
      <c r="F6" s="19"/>
      <c r="G6" t="s">
        <v>6</v>
      </c>
      <c r="H6" s="24">
        <f>H4*H5</f>
        <v>150000</v>
      </c>
      <c r="I6" s="19" t="str">
        <f t="shared" ca="1" si="0"/>
        <v>&lt;--  =H4*H5</v>
      </c>
      <c r="J6" t="s">
        <v>74</v>
      </c>
      <c r="K6" s="3">
        <v>57000</v>
      </c>
      <c r="L6" s="3"/>
      <c r="M6" s="3"/>
    </row>
    <row r="7" spans="1:13" x14ac:dyDescent="0.35">
      <c r="A7" s="19"/>
      <c r="B7" s="23" t="s">
        <v>10</v>
      </c>
      <c r="C7" s="26">
        <f>C4-C5-C6</f>
        <v>66000</v>
      </c>
      <c r="D7" s="19" t="str">
        <f ca="1">getformula(C7)</f>
        <v>&lt;--  =C4-C5-C6</v>
      </c>
      <c r="E7" s="19"/>
      <c r="F7" s="19"/>
      <c r="J7" t="s">
        <v>12</v>
      </c>
      <c r="K7" s="3"/>
      <c r="L7" s="3">
        <v>31000</v>
      </c>
      <c r="M7" s="3"/>
    </row>
    <row r="8" spans="1:13" x14ac:dyDescent="0.35">
      <c r="A8" s="19"/>
      <c r="B8" s="23" t="s">
        <v>11</v>
      </c>
      <c r="C8" s="26">
        <f>H25</f>
        <v>4800</v>
      </c>
      <c r="D8" s="19" t="str">
        <f ca="1">getformula(C8)</f>
        <v>&lt;--  =H25</v>
      </c>
      <c r="E8" s="19"/>
      <c r="F8" s="19"/>
      <c r="G8" s="1" t="s">
        <v>56</v>
      </c>
      <c r="J8" t="s">
        <v>7</v>
      </c>
      <c r="K8" s="3"/>
      <c r="L8" s="3">
        <v>25000</v>
      </c>
      <c r="M8" s="3"/>
    </row>
    <row r="9" spans="1:13" x14ac:dyDescent="0.35">
      <c r="B9" s="23" t="s">
        <v>13</v>
      </c>
      <c r="C9" s="26">
        <f>C7-C8</f>
        <v>61200</v>
      </c>
      <c r="D9" s="19" t="str">
        <f t="shared" ref="D9:D15" ca="1" si="1">getformula(C9)</f>
        <v>&lt;--  =C7-C8</v>
      </c>
      <c r="E9" s="19"/>
      <c r="F9" s="19"/>
      <c r="G9" t="s">
        <v>12</v>
      </c>
      <c r="H9" s="28">
        <v>30000</v>
      </c>
      <c r="I9" s="19" t="str">
        <f t="shared" ref="I9:I13" ca="1" si="2">getformula(H9)</f>
        <v>&lt;--  30000</v>
      </c>
      <c r="J9" t="s">
        <v>75</v>
      </c>
      <c r="K9" s="3"/>
      <c r="L9" s="3">
        <v>1000</v>
      </c>
      <c r="M9" s="3"/>
    </row>
    <row r="10" spans="1:13" x14ac:dyDescent="0.35">
      <c r="B10" s="23" t="s">
        <v>15</v>
      </c>
      <c r="C10" s="26">
        <f>C9*H27</f>
        <v>12852</v>
      </c>
      <c r="D10" s="19" t="str">
        <f t="shared" ca="1" si="1"/>
        <v>&lt;--  =C9*H27</v>
      </c>
      <c r="E10" s="19"/>
      <c r="F10" s="19"/>
      <c r="G10" t="s">
        <v>57</v>
      </c>
      <c r="H10" s="28">
        <v>25000</v>
      </c>
      <c r="I10" s="19" t="str">
        <f t="shared" ca="1" si="2"/>
        <v>&lt;--  25000</v>
      </c>
      <c r="J10" t="s">
        <v>74</v>
      </c>
      <c r="K10" s="3">
        <v>27000</v>
      </c>
      <c r="L10" s="3"/>
      <c r="M10" s="3"/>
    </row>
    <row r="11" spans="1:13" x14ac:dyDescent="0.35">
      <c r="B11" s="23" t="s">
        <v>16</v>
      </c>
      <c r="C11" s="24">
        <f>C9-C10</f>
        <v>48348</v>
      </c>
      <c r="D11" s="19" t="str">
        <f t="shared" ca="1" si="1"/>
        <v>&lt;--  =C9-C10</v>
      </c>
      <c r="E11" s="19"/>
      <c r="F11" s="19"/>
      <c r="G11" t="s">
        <v>58</v>
      </c>
      <c r="H11" s="28">
        <v>1000</v>
      </c>
      <c r="I11" s="19" t="str">
        <f t="shared" ca="1" si="2"/>
        <v>&lt;--  1000</v>
      </c>
      <c r="J11" t="s">
        <v>48</v>
      </c>
      <c r="K11" s="3"/>
      <c r="L11" s="3">
        <v>5000</v>
      </c>
      <c r="M11" s="3"/>
    </row>
    <row r="12" spans="1:13" x14ac:dyDescent="0.35">
      <c r="B12" s="19"/>
      <c r="C12" s="19"/>
      <c r="D12" s="19"/>
      <c r="E12" s="19"/>
      <c r="F12" s="19"/>
      <c r="G12" s="8" t="s">
        <v>59</v>
      </c>
      <c r="H12" s="29">
        <v>1000</v>
      </c>
      <c r="I12" s="19" t="str">
        <f t="shared" ca="1" si="2"/>
        <v>&lt;--  1000</v>
      </c>
      <c r="J12" t="s">
        <v>7</v>
      </c>
      <c r="K12" s="3"/>
      <c r="L12" s="3">
        <v>22000</v>
      </c>
      <c r="M12" s="3"/>
    </row>
    <row r="13" spans="1:13" x14ac:dyDescent="0.35">
      <c r="B13" s="19" t="s">
        <v>53</v>
      </c>
      <c r="C13" s="31">
        <f>(C4-C5)/C4</f>
        <v>0.62</v>
      </c>
      <c r="D13" s="19" t="str">
        <f t="shared" ca="1" si="1"/>
        <v>&lt;--  =(C4-C5)/C4</v>
      </c>
      <c r="E13" s="19"/>
      <c r="F13" s="19"/>
      <c r="G13" t="s">
        <v>25</v>
      </c>
      <c r="H13" s="28">
        <f>SUM(H9:H12)</f>
        <v>57000</v>
      </c>
      <c r="I13" s="19" t="str">
        <f t="shared" ca="1" si="2"/>
        <v>&lt;--  =SUM(H9:H12)</v>
      </c>
      <c r="J13" t="s">
        <v>74</v>
      </c>
      <c r="K13" s="3">
        <v>4800</v>
      </c>
      <c r="L13" s="3"/>
      <c r="M13" s="3"/>
    </row>
    <row r="14" spans="1:13" x14ac:dyDescent="0.35">
      <c r="B14" s="23" t="s">
        <v>17</v>
      </c>
      <c r="C14" s="32">
        <f>C11/H32</f>
        <v>1.9339200000000001</v>
      </c>
      <c r="D14" s="19" t="str">
        <f t="shared" ca="1" si="1"/>
        <v>&lt;--  =C11/H32</v>
      </c>
      <c r="J14" t="s">
        <v>7</v>
      </c>
      <c r="K14" s="3"/>
      <c r="L14" s="3">
        <v>4800</v>
      </c>
      <c r="M14" s="3"/>
    </row>
    <row r="15" spans="1:13" x14ac:dyDescent="0.35">
      <c r="B15" t="s">
        <v>19</v>
      </c>
      <c r="C15" s="5">
        <f>C7+H12</f>
        <v>67000</v>
      </c>
      <c r="D15" s="19" t="str">
        <f t="shared" ca="1" si="1"/>
        <v>&lt;--  =C7+H12</v>
      </c>
      <c r="G15" s="1" t="s">
        <v>60</v>
      </c>
      <c r="J15" t="s">
        <v>74</v>
      </c>
      <c r="K15" s="3">
        <v>12852</v>
      </c>
      <c r="L15" s="3"/>
      <c r="M15" s="3"/>
    </row>
    <row r="16" spans="1:13" x14ac:dyDescent="0.35">
      <c r="G16" t="s">
        <v>61</v>
      </c>
      <c r="H16">
        <v>25000</v>
      </c>
      <c r="I16" s="19" t="str">
        <f t="shared" ref="I16:I19" ca="1" si="3">getformula(H16)</f>
        <v>&lt;--  25000</v>
      </c>
      <c r="J16" t="s">
        <v>7</v>
      </c>
      <c r="K16" s="3"/>
      <c r="L16" s="3">
        <v>12852</v>
      </c>
      <c r="M16" s="3"/>
    </row>
    <row r="17" spans="1:14" x14ac:dyDescent="0.35">
      <c r="A17" t="s">
        <v>0</v>
      </c>
      <c r="B17" s="1" t="s">
        <v>49</v>
      </c>
      <c r="C17" s="10"/>
      <c r="D17" s="11"/>
      <c r="G17" t="s">
        <v>62</v>
      </c>
      <c r="H17">
        <v>1500</v>
      </c>
      <c r="I17" s="19" t="str">
        <f t="shared" ca="1" si="3"/>
        <v>&lt;--  1500</v>
      </c>
      <c r="J17" t="s">
        <v>7</v>
      </c>
      <c r="K17" s="3">
        <v>100000</v>
      </c>
      <c r="L17" s="3"/>
      <c r="M17" s="3"/>
    </row>
    <row r="18" spans="1:14" x14ac:dyDescent="0.35">
      <c r="C18" s="12">
        <v>43101</v>
      </c>
      <c r="D18" s="12">
        <v>43465</v>
      </c>
      <c r="E18" s="13"/>
      <c r="F18" s="13"/>
      <c r="G18" s="8" t="s">
        <v>63</v>
      </c>
      <c r="H18" s="8">
        <v>500</v>
      </c>
      <c r="I18" s="19" t="str">
        <f t="shared" ca="1" si="3"/>
        <v>&lt;--  500</v>
      </c>
      <c r="J18" t="s">
        <v>27</v>
      </c>
      <c r="K18" s="3"/>
      <c r="L18" s="3">
        <v>100000</v>
      </c>
      <c r="M18" s="3"/>
    </row>
    <row r="19" spans="1:14" x14ac:dyDescent="0.35">
      <c r="B19" s="1" t="s">
        <v>2</v>
      </c>
      <c r="E19" s="33">
        <f>D20-C20</f>
        <v>155348</v>
      </c>
      <c r="F19" s="19"/>
      <c r="G19" t="s">
        <v>25</v>
      </c>
      <c r="H19">
        <f>SUM(H16:H18)</f>
        <v>27000</v>
      </c>
      <c r="I19" s="19" t="str">
        <f t="shared" ca="1" si="3"/>
        <v>&lt;--  =SUM(H16:H18)</v>
      </c>
      <c r="J19" t="s">
        <v>74</v>
      </c>
      <c r="K19" s="3">
        <v>15000</v>
      </c>
      <c r="L19" s="3"/>
      <c r="M19" s="3"/>
    </row>
    <row r="20" spans="1:14" x14ac:dyDescent="0.35">
      <c r="B20" t="s">
        <v>7</v>
      </c>
      <c r="C20" s="4">
        <v>38000</v>
      </c>
      <c r="D20" s="5">
        <f>C20+M28</f>
        <v>193348</v>
      </c>
      <c r="E20" s="19" t="str">
        <f ca="1">getformula(D20)</f>
        <v>&lt;--  =C20+M28</v>
      </c>
      <c r="F20" s="25"/>
      <c r="J20" t="s">
        <v>7</v>
      </c>
      <c r="K20" s="3"/>
      <c r="L20" s="3">
        <v>15000</v>
      </c>
      <c r="M20" s="3"/>
    </row>
    <row r="21" spans="1:14" x14ac:dyDescent="0.35">
      <c r="B21" t="s">
        <v>14</v>
      </c>
      <c r="C21" s="7">
        <v>0</v>
      </c>
      <c r="D21" s="9">
        <f>C21</f>
        <v>0</v>
      </c>
      <c r="E21" s="19" t="str">
        <f t="shared" ref="E21:E25" ca="1" si="4">getformula(D21)</f>
        <v>&lt;--  =C21</v>
      </c>
      <c r="F21" s="25"/>
      <c r="G21" s="1" t="s">
        <v>64</v>
      </c>
      <c r="J21" t="s">
        <v>7</v>
      </c>
      <c r="K21" s="3">
        <v>10000</v>
      </c>
      <c r="L21" s="3"/>
      <c r="M21" s="3"/>
    </row>
    <row r="22" spans="1:14" x14ac:dyDescent="0.35">
      <c r="B22" t="s">
        <v>12</v>
      </c>
      <c r="C22" s="7">
        <v>20000</v>
      </c>
      <c r="D22" s="9">
        <f>C22+M30</f>
        <v>9000</v>
      </c>
      <c r="E22" s="19" t="str">
        <f t="shared" ca="1" si="4"/>
        <v>&lt;--  =C22+M30</v>
      </c>
      <c r="F22" s="25"/>
      <c r="G22" t="s">
        <v>65</v>
      </c>
      <c r="H22">
        <v>200</v>
      </c>
      <c r="I22" s="19" t="str">
        <f t="shared" ref="I22:I25" ca="1" si="5">getformula(H22)</f>
        <v>&lt;--  200</v>
      </c>
      <c r="J22" t="s">
        <v>80</v>
      </c>
      <c r="K22" s="3"/>
      <c r="L22" s="3">
        <v>10000</v>
      </c>
      <c r="M22" s="3"/>
    </row>
    <row r="23" spans="1:14" x14ac:dyDescent="0.35">
      <c r="B23" t="s">
        <v>20</v>
      </c>
      <c r="C23" s="7">
        <v>67000</v>
      </c>
      <c r="D23" s="9">
        <f>C23+M31</f>
        <v>71000</v>
      </c>
      <c r="E23" s="19" t="str">
        <f t="shared" ca="1" si="4"/>
        <v>&lt;--  =C23+M31</v>
      </c>
      <c r="F23" s="25"/>
      <c r="G23" t="s">
        <v>66</v>
      </c>
      <c r="H23">
        <f>10000*0.1</f>
        <v>1000</v>
      </c>
      <c r="I23" s="19" t="str">
        <f t="shared" ca="1" si="5"/>
        <v>&lt;--  =10000*0.1</v>
      </c>
      <c r="J23" t="s">
        <v>12</v>
      </c>
      <c r="K23" s="3">
        <v>20000</v>
      </c>
      <c r="L23" s="3"/>
      <c r="M23" s="3"/>
    </row>
    <row r="24" spans="1:14" x14ac:dyDescent="0.35">
      <c r="B24" t="s">
        <v>18</v>
      </c>
      <c r="C24" s="7">
        <v>0</v>
      </c>
      <c r="D24" s="14">
        <f>C24</f>
        <v>0</v>
      </c>
      <c r="E24" s="19" t="str">
        <f t="shared" ca="1" si="4"/>
        <v>&lt;--  =C24</v>
      </c>
      <c r="F24" s="25"/>
      <c r="G24" s="8" t="s">
        <v>67</v>
      </c>
      <c r="H24" s="8">
        <v>4000</v>
      </c>
      <c r="I24" s="19" t="str">
        <f t="shared" ca="1" si="5"/>
        <v>&lt;--  4000</v>
      </c>
      <c r="J24" t="s">
        <v>7</v>
      </c>
      <c r="K24" s="3"/>
      <c r="L24" s="3">
        <v>20000</v>
      </c>
      <c r="M24" s="3"/>
    </row>
    <row r="25" spans="1:14" x14ac:dyDescent="0.35">
      <c r="B25" s="1" t="s">
        <v>21</v>
      </c>
      <c r="C25" s="6">
        <f>SUM(C20:C24)</f>
        <v>125000</v>
      </c>
      <c r="D25" s="3">
        <f>SUM(D20:D24)</f>
        <v>273348</v>
      </c>
      <c r="E25" s="19" t="str">
        <f t="shared" ca="1" si="4"/>
        <v>&lt;--  =SUM(D20:D24)</v>
      </c>
      <c r="F25" s="25"/>
      <c r="G25" t="s">
        <v>68</v>
      </c>
      <c r="H25">
        <f>H24+H23-H22</f>
        <v>4800</v>
      </c>
      <c r="I25" s="19" t="str">
        <f t="shared" ca="1" si="5"/>
        <v>&lt;--  =H24+H23-H22</v>
      </c>
      <c r="J25" t="s">
        <v>75</v>
      </c>
      <c r="K25" s="3">
        <v>5000</v>
      </c>
      <c r="L25" s="3"/>
      <c r="M25" s="3"/>
    </row>
    <row r="26" spans="1:14" x14ac:dyDescent="0.35">
      <c r="E26" s="14"/>
      <c r="F26" s="25"/>
      <c r="J26" t="s">
        <v>7</v>
      </c>
      <c r="K26" s="3"/>
      <c r="L26" s="3">
        <v>5000</v>
      </c>
      <c r="M26" s="3"/>
    </row>
    <row r="27" spans="1:14" x14ac:dyDescent="0.35">
      <c r="B27" s="1" t="s">
        <v>22</v>
      </c>
      <c r="D27" s="9"/>
      <c r="E27" s="9"/>
      <c r="F27" s="25"/>
      <c r="G27" t="s">
        <v>69</v>
      </c>
      <c r="H27" s="30">
        <v>0.21</v>
      </c>
      <c r="K27" s="3" t="str">
        <f ca="1">getformula(K28)</f>
        <v>&lt;--  =SUMIF($J$4:$J$26,$J28,K$4:K$26)</v>
      </c>
      <c r="L27" s="3"/>
      <c r="M27" s="3"/>
    </row>
    <row r="28" spans="1:14" x14ac:dyDescent="0.35">
      <c r="B28" t="s">
        <v>48</v>
      </c>
      <c r="C28" s="7">
        <v>4000</v>
      </c>
      <c r="D28" s="9">
        <f>C28-M32</f>
        <v>9000</v>
      </c>
      <c r="E28" s="19" t="str">
        <f t="shared" ref="E28:E30" ca="1" si="6">getformula(D28)</f>
        <v>&lt;--  =C28-M32</v>
      </c>
      <c r="F28" s="25"/>
      <c r="J28" t="s">
        <v>7</v>
      </c>
      <c r="K28" s="5">
        <f>SUMIF($J$4:$J$26,$J28,K$4:K$26)</f>
        <v>260000</v>
      </c>
      <c r="L28" s="5">
        <f>SUMIF($J$4:$J$26,$J28,L$4:L$26)</f>
        <v>104652</v>
      </c>
      <c r="M28" s="3">
        <f>K28-L28</f>
        <v>155348</v>
      </c>
      <c r="N28" t="str">
        <f ca="1">getformula(M28)</f>
        <v>&lt;--  =K28-L28</v>
      </c>
    </row>
    <row r="29" spans="1:14" x14ac:dyDescent="0.35">
      <c r="B29" t="s">
        <v>23</v>
      </c>
      <c r="C29" s="7">
        <v>40000</v>
      </c>
      <c r="D29" s="9">
        <f>C29-M34</f>
        <v>50000</v>
      </c>
      <c r="E29" s="19" t="str">
        <f t="shared" ca="1" si="6"/>
        <v>&lt;--  =C29-M34</v>
      </c>
      <c r="F29" s="34"/>
      <c r="G29" s="1" t="s">
        <v>70</v>
      </c>
      <c r="J29" t="s">
        <v>74</v>
      </c>
      <c r="K29" s="5">
        <f t="shared" ref="K29:L34" si="7">SUMIF($J$4:$J$26,$J29,K$4:K$26)</f>
        <v>116652</v>
      </c>
      <c r="L29" s="5">
        <f t="shared" si="7"/>
        <v>150000</v>
      </c>
      <c r="M29" s="3">
        <f t="shared" ref="M29:M34" si="8">K29-L29</f>
        <v>-33348</v>
      </c>
      <c r="N29" t="str">
        <f t="shared" ref="N29:N34" ca="1" si="9">getformula(M29)</f>
        <v>&lt;--  =K29-L29</v>
      </c>
    </row>
    <row r="30" spans="1:14" x14ac:dyDescent="0.35">
      <c r="B30" s="1" t="s">
        <v>24</v>
      </c>
      <c r="C30" s="7">
        <f>SUM(C28:C29)</f>
        <v>44000</v>
      </c>
      <c r="D30" s="9">
        <f>SUM(D28:D29)</f>
        <v>59000</v>
      </c>
      <c r="E30" s="19" t="str">
        <f t="shared" ca="1" si="6"/>
        <v>&lt;--  =SUM(D28:D29)</v>
      </c>
      <c r="F30" s="3"/>
      <c r="G30" t="s">
        <v>71</v>
      </c>
      <c r="H30">
        <v>20000</v>
      </c>
      <c r="I30">
        <v>0.5</v>
      </c>
      <c r="J30" t="s">
        <v>12</v>
      </c>
      <c r="K30" s="5">
        <f t="shared" si="7"/>
        <v>20000</v>
      </c>
      <c r="L30" s="5">
        <f t="shared" si="7"/>
        <v>31000</v>
      </c>
      <c r="M30" s="3">
        <f t="shared" si="8"/>
        <v>-11000</v>
      </c>
      <c r="N30" t="str">
        <f t="shared" ca="1" si="9"/>
        <v>&lt;--  =K30-L30</v>
      </c>
    </row>
    <row r="31" spans="1:14" x14ac:dyDescent="0.35">
      <c r="C31" s="9"/>
      <c r="D31" s="9"/>
      <c r="E31" s="9"/>
      <c r="F31" s="9"/>
      <c r="G31" t="s">
        <v>72</v>
      </c>
      <c r="H31">
        <v>30000</v>
      </c>
      <c r="I31">
        <v>0.5</v>
      </c>
      <c r="J31" t="s">
        <v>75</v>
      </c>
      <c r="K31" s="5">
        <f t="shared" si="7"/>
        <v>5000</v>
      </c>
      <c r="L31" s="5">
        <f t="shared" si="7"/>
        <v>1000</v>
      </c>
      <c r="M31" s="3">
        <f t="shared" si="8"/>
        <v>4000</v>
      </c>
      <c r="N31" t="str">
        <f t="shared" ca="1" si="9"/>
        <v>&lt;--  =K31-L31</v>
      </c>
    </row>
    <row r="32" spans="1:14" x14ac:dyDescent="0.35">
      <c r="B32" s="1" t="s">
        <v>26</v>
      </c>
      <c r="C32" s="9"/>
      <c r="D32" s="9"/>
      <c r="E32" s="9"/>
      <c r="F32" s="9"/>
      <c r="G32" t="s">
        <v>73</v>
      </c>
      <c r="H32">
        <f>H30*I30+H31*I31</f>
        <v>25000</v>
      </c>
      <c r="I32" s="19" t="str">
        <f t="shared" ref="I32" ca="1" si="10">getformula(H32)</f>
        <v>&lt;--  =H30*I30+H31*I31</v>
      </c>
      <c r="J32" t="s">
        <v>48</v>
      </c>
      <c r="K32" s="5">
        <f t="shared" si="7"/>
        <v>0</v>
      </c>
      <c r="L32" s="5">
        <f t="shared" si="7"/>
        <v>5000</v>
      </c>
      <c r="M32" s="3">
        <f t="shared" si="8"/>
        <v>-5000</v>
      </c>
      <c r="N32" t="str">
        <f t="shared" ca="1" si="9"/>
        <v>&lt;--  =K32-L32</v>
      </c>
    </row>
    <row r="33" spans="1:14" x14ac:dyDescent="0.35">
      <c r="B33" t="s">
        <v>27</v>
      </c>
      <c r="C33" s="7">
        <v>50000</v>
      </c>
      <c r="D33" s="9">
        <f>C33-M33</f>
        <v>150000</v>
      </c>
      <c r="E33" s="19" t="str">
        <f t="shared" ref="E33:E35" ca="1" si="11">getformula(D33)</f>
        <v>&lt;--  =C33-M33</v>
      </c>
      <c r="F33" s="19"/>
      <c r="J33" t="s">
        <v>27</v>
      </c>
      <c r="K33" s="5">
        <f t="shared" si="7"/>
        <v>0</v>
      </c>
      <c r="L33" s="5">
        <f t="shared" si="7"/>
        <v>100000</v>
      </c>
      <c r="M33" s="3">
        <f t="shared" si="8"/>
        <v>-100000</v>
      </c>
      <c r="N33" t="str">
        <f t="shared" ca="1" si="9"/>
        <v>&lt;--  =K33-L33</v>
      </c>
    </row>
    <row r="34" spans="1:14" x14ac:dyDescent="0.35">
      <c r="B34" t="s">
        <v>28</v>
      </c>
      <c r="C34" s="7">
        <f>C25-C30-C33</f>
        <v>31000</v>
      </c>
      <c r="D34" s="9">
        <f>C34-M29</f>
        <v>64348</v>
      </c>
      <c r="E34" s="19" t="str">
        <f t="shared" ca="1" si="11"/>
        <v>&lt;--  =C34-M29</v>
      </c>
      <c r="F34" s="33"/>
      <c r="G34" s="1" t="s">
        <v>76</v>
      </c>
      <c r="J34" t="s">
        <v>80</v>
      </c>
      <c r="K34" s="5">
        <f t="shared" si="7"/>
        <v>0</v>
      </c>
      <c r="L34" s="5">
        <f t="shared" si="7"/>
        <v>10000</v>
      </c>
      <c r="M34" s="3">
        <f t="shared" si="8"/>
        <v>-10000</v>
      </c>
      <c r="N34" t="str">
        <f t="shared" ca="1" si="9"/>
        <v>&lt;--  =K34-L34</v>
      </c>
    </row>
    <row r="35" spans="1:14" x14ac:dyDescent="0.35">
      <c r="B35" s="1" t="s">
        <v>29</v>
      </c>
      <c r="C35" s="4">
        <f>SUM(C33:C34)</f>
        <v>81000</v>
      </c>
      <c r="D35" s="5">
        <f>SUM(D33:D34)</f>
        <v>214348</v>
      </c>
      <c r="E35" s="19" t="str">
        <f t="shared" ca="1" si="11"/>
        <v>&lt;--  =SUM(D33:D34)</v>
      </c>
      <c r="F35" s="19"/>
      <c r="G35" t="s">
        <v>77</v>
      </c>
      <c r="H35">
        <v>0.5</v>
      </c>
      <c r="K35" s="3"/>
      <c r="L35" s="3"/>
      <c r="M35" s="3"/>
    </row>
    <row r="36" spans="1:14" x14ac:dyDescent="0.35">
      <c r="G36" t="s">
        <v>79</v>
      </c>
      <c r="H36">
        <v>30000</v>
      </c>
      <c r="K36" s="3"/>
      <c r="L36" s="3"/>
      <c r="M36" s="3"/>
    </row>
    <row r="37" spans="1:14" x14ac:dyDescent="0.35">
      <c r="B37" t="s">
        <v>30</v>
      </c>
      <c r="C37" s="16">
        <f>C25-C30-C35</f>
        <v>0</v>
      </c>
      <c r="D37" s="16">
        <f>D25-D30-D35</f>
        <v>0</v>
      </c>
      <c r="E37" s="19"/>
      <c r="F37" s="19"/>
      <c r="G37" t="s">
        <v>78</v>
      </c>
      <c r="H37">
        <f>H36*H35</f>
        <v>15000</v>
      </c>
      <c r="K37" s="3"/>
      <c r="L37" s="3"/>
      <c r="M37" s="3"/>
    </row>
    <row r="38" spans="1:14" x14ac:dyDescent="0.35">
      <c r="K38" s="5"/>
      <c r="L38" s="5"/>
      <c r="M38" s="5"/>
    </row>
    <row r="39" spans="1:14" x14ac:dyDescent="0.35">
      <c r="A39" t="s">
        <v>0</v>
      </c>
      <c r="B39" s="1" t="s">
        <v>52</v>
      </c>
    </row>
    <row r="41" spans="1:14" x14ac:dyDescent="0.35">
      <c r="B41" s="1" t="s">
        <v>31</v>
      </c>
      <c r="C41" s="5">
        <f>C20</f>
        <v>38000</v>
      </c>
      <c r="D41" s="19" t="str">
        <f t="shared" ref="D41" ca="1" si="12">getformula(C41)</f>
        <v>&lt;--  =C20</v>
      </c>
    </row>
    <row r="42" spans="1:14" x14ac:dyDescent="0.35">
      <c r="B42" s="1" t="s">
        <v>32</v>
      </c>
      <c r="D42" s="19"/>
    </row>
    <row r="43" spans="1:14" x14ac:dyDescent="0.35">
      <c r="B43" t="s">
        <v>16</v>
      </c>
      <c r="C43" s="15">
        <f>C11</f>
        <v>48348</v>
      </c>
      <c r="D43" s="19" t="str">
        <f t="shared" ref="D43:D44" ca="1" si="13">getformula(C43)</f>
        <v>&lt;--  =C11</v>
      </c>
    </row>
    <row r="44" spans="1:14" x14ac:dyDescent="0.35">
      <c r="B44" t="s">
        <v>33</v>
      </c>
      <c r="C44" s="15">
        <f>H12</f>
        <v>1000</v>
      </c>
      <c r="D44" s="19" t="str">
        <f t="shared" ca="1" si="13"/>
        <v>&lt;--  =H12</v>
      </c>
    </row>
    <row r="45" spans="1:14" x14ac:dyDescent="0.35">
      <c r="B45" s="1" t="s">
        <v>34</v>
      </c>
      <c r="C45" s="15"/>
      <c r="D45" s="19"/>
    </row>
    <row r="46" spans="1:14" x14ac:dyDescent="0.35">
      <c r="B46" t="s">
        <v>12</v>
      </c>
      <c r="C46" s="15">
        <f>-(D22-C22)</f>
        <v>11000</v>
      </c>
      <c r="D46" s="19" t="str">
        <f t="shared" ref="D46:D48" ca="1" si="14">getformula(C46)</f>
        <v>&lt;--  =-(D22-C22)</v>
      </c>
    </row>
    <row r="47" spans="1:14" x14ac:dyDescent="0.35">
      <c r="B47" s="8" t="s">
        <v>48</v>
      </c>
      <c r="C47" s="17">
        <f>D28-C28</f>
        <v>5000</v>
      </c>
      <c r="D47" s="19" t="str">
        <f t="shared" ca="1" si="14"/>
        <v>&lt;--  =D28-C28</v>
      </c>
    </row>
    <row r="48" spans="1:14" x14ac:dyDescent="0.35">
      <c r="B48" s="1" t="s">
        <v>25</v>
      </c>
      <c r="C48" s="15">
        <f>SUM(C43:C47)</f>
        <v>65348</v>
      </c>
      <c r="D48" s="19" t="str">
        <f t="shared" ca="1" si="14"/>
        <v>&lt;--  =SUM(C43:C47)</v>
      </c>
    </row>
    <row r="49" spans="2:4" x14ac:dyDescent="0.35">
      <c r="C49" s="15"/>
      <c r="D49" s="19"/>
    </row>
    <row r="50" spans="2:4" x14ac:dyDescent="0.35">
      <c r="B50" s="1" t="s">
        <v>35</v>
      </c>
      <c r="C50" s="15"/>
      <c r="D50" s="19"/>
    </row>
    <row r="51" spans="2:4" x14ac:dyDescent="0.35">
      <c r="B51" t="s">
        <v>36</v>
      </c>
      <c r="C51" s="15">
        <f>-5000</f>
        <v>-5000</v>
      </c>
      <c r="D51" s="19" t="str">
        <f t="shared" ref="D51:D54" ca="1" si="15">getformula(C51)</f>
        <v>&lt;--  =-5000</v>
      </c>
    </row>
    <row r="52" spans="2:4" x14ac:dyDescent="0.35">
      <c r="B52" t="s">
        <v>37</v>
      </c>
      <c r="C52" s="18">
        <v>0</v>
      </c>
      <c r="D52" s="19" t="str">
        <f t="shared" ca="1" si="15"/>
        <v>&lt;--  0</v>
      </c>
    </row>
    <row r="53" spans="2:4" x14ac:dyDescent="0.35">
      <c r="B53" s="8" t="s">
        <v>38</v>
      </c>
      <c r="C53" s="17">
        <v>0</v>
      </c>
      <c r="D53" s="19" t="str">
        <f t="shared" ca="1" si="15"/>
        <v>&lt;--  0</v>
      </c>
    </row>
    <row r="54" spans="2:4" x14ac:dyDescent="0.35">
      <c r="B54" s="1" t="s">
        <v>25</v>
      </c>
      <c r="C54" s="15">
        <f>SUM(C51:C53)</f>
        <v>-5000</v>
      </c>
      <c r="D54" s="19" t="str">
        <f t="shared" ca="1" si="15"/>
        <v>&lt;--  =SUM(C51:C53)</v>
      </c>
    </row>
    <row r="55" spans="2:4" x14ac:dyDescent="0.35">
      <c r="C55" s="15"/>
      <c r="D55" s="19"/>
    </row>
    <row r="56" spans="2:4" x14ac:dyDescent="0.35">
      <c r="B56" s="1" t="s">
        <v>39</v>
      </c>
      <c r="C56" s="15"/>
      <c r="D56" s="19"/>
    </row>
    <row r="57" spans="2:4" x14ac:dyDescent="0.35">
      <c r="B57" t="s">
        <v>40</v>
      </c>
      <c r="C57" s="18">
        <v>10000</v>
      </c>
      <c r="D57" s="19" t="str">
        <f t="shared" ref="D57:D62" ca="1" si="16">getformula(C57)</f>
        <v>&lt;--  10000</v>
      </c>
    </row>
    <row r="58" spans="2:4" x14ac:dyDescent="0.35">
      <c r="B58" t="s">
        <v>41</v>
      </c>
      <c r="C58" s="18">
        <v>0</v>
      </c>
      <c r="D58" s="19" t="str">
        <f t="shared" ca="1" si="16"/>
        <v>&lt;--  0</v>
      </c>
    </row>
    <row r="59" spans="2:4" x14ac:dyDescent="0.35">
      <c r="B59" t="s">
        <v>42</v>
      </c>
      <c r="C59" s="18">
        <v>100000</v>
      </c>
      <c r="D59" s="19" t="str">
        <f t="shared" ca="1" si="16"/>
        <v>&lt;--  100000</v>
      </c>
    </row>
    <row r="60" spans="2:4" x14ac:dyDescent="0.35">
      <c r="B60" t="s">
        <v>43</v>
      </c>
      <c r="C60" s="15">
        <v>0</v>
      </c>
      <c r="D60" s="19" t="str">
        <f t="shared" ca="1" si="16"/>
        <v>&lt;--  0</v>
      </c>
    </row>
    <row r="61" spans="2:4" x14ac:dyDescent="0.35">
      <c r="B61" s="8" t="s">
        <v>44</v>
      </c>
      <c r="C61" s="17">
        <f>-H37</f>
        <v>-15000</v>
      </c>
      <c r="D61" s="19" t="str">
        <f t="shared" ca="1" si="16"/>
        <v>&lt;--  =-H37</v>
      </c>
    </row>
    <row r="62" spans="2:4" x14ac:dyDescent="0.35">
      <c r="B62" s="1" t="s">
        <v>25</v>
      </c>
      <c r="C62" s="15">
        <f>SUM(C57:C61)</f>
        <v>95000</v>
      </c>
      <c r="D62" s="19" t="str">
        <f t="shared" ca="1" si="16"/>
        <v>&lt;--  =SUM(C57:C61)</v>
      </c>
    </row>
    <row r="63" spans="2:4" x14ac:dyDescent="0.35">
      <c r="C63" s="15"/>
      <c r="D63" s="19"/>
    </row>
    <row r="64" spans="2:4" x14ac:dyDescent="0.35">
      <c r="B64" t="s">
        <v>45</v>
      </c>
      <c r="C64" s="15">
        <f>C62+C54+C48</f>
        <v>155348</v>
      </c>
      <c r="D64" s="19" t="str">
        <f t="shared" ref="D64:D66" ca="1" si="17">getformula(C64)</f>
        <v>&lt;--  =C62+C54+C48</v>
      </c>
    </row>
    <row r="65" spans="2:4" x14ac:dyDescent="0.35">
      <c r="B65" t="s">
        <v>46</v>
      </c>
      <c r="C65" s="5">
        <f>C64+C41</f>
        <v>193348</v>
      </c>
      <c r="D65" s="19" t="str">
        <f t="shared" ca="1" si="17"/>
        <v>&lt;--  =C64+C41</v>
      </c>
    </row>
    <row r="66" spans="2:4" x14ac:dyDescent="0.35">
      <c r="B66" t="s">
        <v>47</v>
      </c>
      <c r="C66" s="16">
        <f>C65-D20</f>
        <v>0</v>
      </c>
      <c r="D66" s="19" t="str">
        <f t="shared" ca="1" si="17"/>
        <v>&lt;--  =C65-D20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David Moore</cp:lastModifiedBy>
  <dcterms:created xsi:type="dcterms:W3CDTF">2020-09-16T00:02:43Z</dcterms:created>
  <dcterms:modified xsi:type="dcterms:W3CDTF">2020-09-16T01:48:20Z</dcterms:modified>
</cp:coreProperties>
</file>